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на 01.01.21." sheetId="1" r:id="rId1"/>
  </sheets>
  <definedNames>
    <definedName name="_xlnm.Print_Area" localSheetId="0">'на 01.01.21.'!$A$1:$AD$44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8" i="1"/>
  <c r="F28"/>
  <c r="Y27"/>
  <c r="T27"/>
  <c r="S27"/>
  <c r="R27"/>
  <c r="F27"/>
  <c r="Y26"/>
  <c r="T26"/>
  <c r="S26"/>
  <c r="R26"/>
  <c r="F26"/>
  <c r="S28"/>
  <c r="R28"/>
  <c r="Y24"/>
  <c r="D24"/>
  <c r="Y29"/>
  <c r="Y23"/>
  <c r="AB42" l="1"/>
  <c r="W42"/>
  <c r="V42"/>
  <c r="U42"/>
  <c r="T42"/>
  <c r="S42"/>
  <c r="R42"/>
  <c r="Q42"/>
  <c r="O42"/>
  <c r="N42"/>
  <c r="M42"/>
  <c r="L42"/>
  <c r="K42"/>
  <c r="J42"/>
  <c r="G42"/>
  <c r="E42"/>
  <c r="D42"/>
  <c r="F41"/>
  <c r="Z41" s="1"/>
  <c r="F40"/>
  <c r="Z40" s="1"/>
  <c r="X39"/>
  <c r="F39"/>
  <c r="Z39" s="1"/>
  <c r="C38"/>
  <c r="F37"/>
  <c r="Z37" s="1"/>
  <c r="F36"/>
  <c r="Z36" s="1"/>
  <c r="F35"/>
  <c r="Z35" s="1"/>
  <c r="F34"/>
  <c r="H34" s="1"/>
  <c r="Y33"/>
  <c r="F33"/>
  <c r="F32"/>
  <c r="F31"/>
  <c r="Z30"/>
  <c r="X30"/>
  <c r="W30"/>
  <c r="W43" s="1"/>
  <c r="V30"/>
  <c r="U30"/>
  <c r="P30"/>
  <c r="O30"/>
  <c r="O43" s="1"/>
  <c r="N30"/>
  <c r="N43" s="1"/>
  <c r="M30"/>
  <c r="M43" s="1"/>
  <c r="L30"/>
  <c r="L43" s="1"/>
  <c r="K30"/>
  <c r="K43" s="1"/>
  <c r="J30"/>
  <c r="J43" s="1"/>
  <c r="I30"/>
  <c r="E30"/>
  <c r="E43" s="1"/>
  <c r="C30"/>
  <c r="Q29"/>
  <c r="Q30" s="1"/>
  <c r="G29"/>
  <c r="D29"/>
  <c r="G28"/>
  <c r="AA28" s="1"/>
  <c r="AD28" s="1"/>
  <c r="D28"/>
  <c r="T30"/>
  <c r="S30"/>
  <c r="S43" s="1"/>
  <c r="R30"/>
  <c r="G26"/>
  <c r="D26"/>
  <c r="G25"/>
  <c r="F25"/>
  <c r="F24"/>
  <c r="F23"/>
  <c r="G22"/>
  <c r="F22"/>
  <c r="D21"/>
  <c r="F20"/>
  <c r="H20" s="1"/>
  <c r="V43" l="1"/>
  <c r="R43"/>
  <c r="H31"/>
  <c r="Z31"/>
  <c r="Q43"/>
  <c r="T43"/>
  <c r="U43"/>
  <c r="AA34"/>
  <c r="AD34" s="1"/>
  <c r="Y32"/>
  <c r="Y42" s="1"/>
  <c r="I32"/>
  <c r="I42" s="1"/>
  <c r="I43" s="1"/>
  <c r="AA36"/>
  <c r="AD36" s="1"/>
  <c r="AA40"/>
  <c r="AD40" s="1"/>
  <c r="Y20"/>
  <c r="G20"/>
  <c r="F21"/>
  <c r="Y22"/>
  <c r="AA22" s="1"/>
  <c r="AD22" s="1"/>
  <c r="G23"/>
  <c r="AA23" s="1"/>
  <c r="AD23" s="1"/>
  <c r="G24"/>
  <c r="AA24" s="1"/>
  <c r="AD24" s="1"/>
  <c r="Y25"/>
  <c r="AA25" s="1"/>
  <c r="AD25" s="1"/>
  <c r="AA26"/>
  <c r="AD26" s="1"/>
  <c r="D27"/>
  <c r="D30" s="1"/>
  <c r="D43" s="1"/>
  <c r="G27"/>
  <c r="AA27" s="1"/>
  <c r="AD27" s="1"/>
  <c r="P32"/>
  <c r="P42" s="1"/>
  <c r="P43" s="1"/>
  <c r="H33"/>
  <c r="H42" s="1"/>
  <c r="AA35"/>
  <c r="AD35" s="1"/>
  <c r="X37"/>
  <c r="AA37" s="1"/>
  <c r="AD37" s="1"/>
  <c r="F38"/>
  <c r="Z38" s="1"/>
  <c r="AA39"/>
  <c r="AD39" s="1"/>
  <c r="AA41"/>
  <c r="AD41" s="1"/>
  <c r="C42"/>
  <c r="C43" s="1"/>
  <c r="AA29"/>
  <c r="AD29" s="1"/>
  <c r="X33"/>
  <c r="F30" l="1"/>
  <c r="H21"/>
  <c r="AA31"/>
  <c r="AD31" s="1"/>
  <c r="X42"/>
  <c r="X43" s="1"/>
  <c r="AC42"/>
  <c r="AA33"/>
  <c r="AD33" s="1"/>
  <c r="F42"/>
  <c r="F43" s="1"/>
  <c r="H30"/>
  <c r="H43" s="1"/>
  <c r="AB30"/>
  <c r="AB43" s="1"/>
  <c r="G21"/>
  <c r="G30" s="1"/>
  <c r="G43" s="1"/>
  <c r="Y21"/>
  <c r="AA21" s="1"/>
  <c r="AD21" s="1"/>
  <c r="AA20"/>
  <c r="AD20" s="1"/>
  <c r="AA38"/>
  <c r="AD38" s="1"/>
  <c r="AA32"/>
  <c r="AD32" s="1"/>
  <c r="AC30"/>
  <c r="V8" l="1"/>
  <c r="Y30"/>
  <c r="Y43" s="1"/>
  <c r="Y9"/>
  <c r="AC43"/>
  <c r="Z42"/>
  <c r="Z43" s="1"/>
  <c r="AA30"/>
  <c r="AD30"/>
  <c r="AA9"/>
  <c r="AA42"/>
  <c r="AD42"/>
  <c r="AD43" l="1"/>
  <c r="AA43"/>
  <c r="AE43" l="1"/>
  <c r="AE30"/>
</calcChain>
</file>

<file path=xl/sharedStrings.xml><?xml version="1.0" encoding="utf-8"?>
<sst xmlns="http://schemas.openxmlformats.org/spreadsheetml/2006/main" count="65" uniqueCount="65">
  <si>
    <r>
      <t xml:space="preserve">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        ШТАТНИЙ РОЗПИС</t>
    </r>
  </si>
  <si>
    <r>
      <t xml:space="preserve">                                                         </t>
    </r>
    <r>
      <rPr>
        <b/>
        <sz val="14"/>
        <color indexed="10"/>
        <rFont val="Times New Roman"/>
        <family val="1"/>
        <charset val="204"/>
      </rPr>
      <t/>
    </r>
  </si>
  <si>
    <t xml:space="preserve">Навчально виховного комплексу "Синяківський хіміко-технологічний ліцей - заклад загальної середньої освіти І-ІІ ступенів" </t>
  </si>
  <si>
    <t>№</t>
  </si>
  <si>
    <t>Посада</t>
  </si>
  <si>
    <t>Кількість штатних одиниць</t>
  </si>
  <si>
    <t>Посадовий оклад з підвищенням за звання</t>
  </si>
  <si>
    <t>за гімназію 10%</t>
  </si>
  <si>
    <t>Оклад за кількістю штатних одиниць з підвищеннями</t>
  </si>
  <si>
    <t>Надбавки</t>
  </si>
  <si>
    <t>Індивідуальні  години</t>
  </si>
  <si>
    <t>Доплата</t>
  </si>
  <si>
    <t>Вислуга</t>
  </si>
  <si>
    <t>Доплата до МЗП</t>
  </si>
  <si>
    <t>ФЗП в місяць</t>
  </si>
  <si>
    <t>Щоріч-на грошова виногорода</t>
  </si>
  <si>
    <t>Допомога на оздоровлення</t>
  </si>
  <si>
    <t>ФЗП в рік</t>
  </si>
  <si>
    <t>педпрацівникам за престижність ПКМУ від 23.03.11 №373 (в межах фонду) 5-30%</t>
  </si>
  <si>
    <t>Згідно рішення сесії та за складність та напруж. до 30%</t>
  </si>
  <si>
    <t>50% бібліотекарям згідно Постанови КМУ №1073 від 30.09.09</t>
  </si>
  <si>
    <t>Кількість штатних одиниць інд.навч.</t>
  </si>
  <si>
    <t>посадовий оклад інд.навч.</t>
  </si>
  <si>
    <t>дод.год. інд.навч.</t>
  </si>
  <si>
    <t>вислуга інд.навч.</t>
  </si>
  <si>
    <t>20% згідно Постанови № 1130 від 05.10.09</t>
  </si>
  <si>
    <t>зошити інд.навч.</t>
  </si>
  <si>
    <t>за завідув. бібліотекою (книжк. Фонд)</t>
  </si>
  <si>
    <t>за роботу в інклюзивних класах</t>
  </si>
  <si>
    <t>перев. зошитів</t>
  </si>
  <si>
    <t>класне  керівництво</t>
  </si>
  <si>
    <t>за завідування кабінетом</t>
  </si>
  <si>
    <t>МО</t>
  </si>
  <si>
    <t>ММК</t>
  </si>
  <si>
    <t>Керівництво школою, групами ГПД</t>
  </si>
  <si>
    <t>шкідливі та неспр. ум.пр. нічні</t>
  </si>
  <si>
    <t>Директор</t>
  </si>
  <si>
    <t>Заступник дир. з н-в роботи</t>
  </si>
  <si>
    <t>Практичний психолог</t>
  </si>
  <si>
    <t>Соціальний педагог</t>
  </si>
  <si>
    <t>Педагог-організатор</t>
  </si>
  <si>
    <t>Керівник гуртка</t>
  </si>
  <si>
    <t>Вчитель 1-4 класів</t>
  </si>
  <si>
    <t>Вчитель 5-9 класів</t>
  </si>
  <si>
    <t>Вчитель 10-11 класів</t>
  </si>
  <si>
    <t>Асистент вчителя</t>
  </si>
  <si>
    <t xml:space="preserve">Всього педзарплата </t>
  </si>
  <si>
    <t>Завідуючий господарством</t>
  </si>
  <si>
    <t>Завідувач бібліотекою</t>
  </si>
  <si>
    <t>Старша сестра медична</t>
  </si>
  <si>
    <t>Бухгалтер</t>
  </si>
  <si>
    <t>Секретар-друкарка</t>
  </si>
  <si>
    <t>Робітник з комплексного обслуг. приміщень</t>
  </si>
  <si>
    <t>Сторож</t>
  </si>
  <si>
    <t>Двірник</t>
  </si>
  <si>
    <t>Прибиральник службових приміщень</t>
  </si>
  <si>
    <t xml:space="preserve">Лаборант </t>
  </si>
  <si>
    <t>Всього МОП</t>
  </si>
  <si>
    <t>ВСЬОГО</t>
  </si>
  <si>
    <t>Директор школи</t>
  </si>
  <si>
    <t>Головний бухгалтер</t>
  </si>
  <si>
    <t>Бібліотекар</t>
  </si>
  <si>
    <t>ЗОШ І-ІІІ ст.№ 5смт Ворзель</t>
  </si>
  <si>
    <t>Додаток 12 до рішення Бучанської міської ради</t>
  </si>
  <si>
    <t>від «02»  грудня 2020 року № 44- 2-VIIІ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</si>
</sst>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2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44"/>
      <name val="Times New Roman"/>
      <family val="1"/>
      <charset val="204"/>
    </font>
    <font>
      <sz val="12"/>
      <color indexed="4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4" fillId="0" borderId="0"/>
    <xf numFmtId="0" fontId="24" fillId="0" borderId="0"/>
  </cellStyleXfs>
  <cellXfs count="11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8" fillId="0" borderId="0" xfId="0" applyFont="1" applyFill="1" applyAlignment="1"/>
    <xf numFmtId="2" fontId="3" fillId="0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/>
    <xf numFmtId="0" fontId="1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3" fillId="0" borderId="0" xfId="0" applyFont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/>
    <xf numFmtId="0" fontId="18" fillId="0" borderId="0" xfId="0" applyFont="1"/>
    <xf numFmtId="0" fontId="19" fillId="0" borderId="0" xfId="0" applyFont="1"/>
    <xf numFmtId="2" fontId="18" fillId="0" borderId="0" xfId="0" applyNumberFormat="1" applyFont="1" applyFill="1"/>
    <xf numFmtId="0" fontId="20" fillId="0" borderId="0" xfId="0" applyFont="1"/>
    <xf numFmtId="0" fontId="21" fillId="0" borderId="0" xfId="0" applyFont="1"/>
    <xf numFmtId="4" fontId="21" fillId="0" borderId="0" xfId="0" applyNumberFormat="1" applyFont="1" applyFill="1"/>
    <xf numFmtId="0" fontId="21" fillId="0" borderId="0" xfId="0" applyFont="1" applyFill="1"/>
    <xf numFmtId="0" fontId="3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top" wrapText="1"/>
    </xf>
    <xf numFmtId="2" fontId="9" fillId="0" borderId="2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/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 wrapText="1"/>
    </xf>
    <xf numFmtId="4" fontId="23" fillId="0" borderId="2" xfId="1" applyNumberFormat="1" applyFont="1" applyBorder="1" applyAlignment="1">
      <alignment horizontal="center" vertical="center" wrapText="1"/>
    </xf>
    <xf numFmtId="0" fontId="23" fillId="0" borderId="0" xfId="0" applyFont="1"/>
    <xf numFmtId="0" fontId="8" fillId="0" borderId="2" xfId="0" applyFont="1" applyBorder="1" applyAlignment="1">
      <alignment horizontal="center"/>
    </xf>
    <xf numFmtId="0" fontId="26" fillId="0" borderId="2" xfId="0" applyFont="1" applyBorder="1" applyAlignment="1">
      <alignment horizontal="justify" vertical="top" wrapText="1"/>
    </xf>
    <xf numFmtId="2" fontId="26" fillId="0" borderId="2" xfId="0" applyNumberFormat="1" applyFont="1" applyBorder="1" applyAlignment="1">
      <alignment horizontal="center" vertical="center" wrapText="1"/>
    </xf>
    <xf numFmtId="4" fontId="26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27" fillId="0" borderId="0" xfId="0" applyNumberFormat="1" applyFont="1"/>
    <xf numFmtId="0" fontId="8" fillId="0" borderId="1" xfId="0" applyFont="1" applyBorder="1"/>
    <xf numFmtId="0" fontId="3" fillId="0" borderId="0" xfId="3" applyFont="1" applyAlignment="1"/>
    <xf numFmtId="0" fontId="3" fillId="0" borderId="0" xfId="3" applyFont="1" applyFill="1" applyBorder="1" applyAlignment="1"/>
    <xf numFmtId="0" fontId="3" fillId="0" borderId="1" xfId="3" applyFont="1" applyBorder="1" applyAlignment="1"/>
    <xf numFmtId="0" fontId="3" fillId="0" borderId="0" xfId="3" applyFont="1" applyBorder="1"/>
    <xf numFmtId="0" fontId="8" fillId="0" borderId="0" xfId="0" applyFont="1" applyBorder="1" applyAlignment="1">
      <alignment horizontal="center"/>
    </xf>
    <xf numFmtId="0" fontId="4" fillId="0" borderId="0" xfId="0" applyFont="1" applyBorder="1"/>
    <xf numFmtId="0" fontId="8" fillId="0" borderId="0" xfId="0" applyFont="1" applyBorder="1"/>
    <xf numFmtId="0" fontId="3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/>
    <xf numFmtId="0" fontId="8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0" fillId="0" borderId="0" xfId="0" applyBorder="1"/>
    <xf numFmtId="0" fontId="9" fillId="0" borderId="0" xfId="0" applyFont="1" applyBorder="1"/>
    <xf numFmtId="0" fontId="16" fillId="0" borderId="0" xfId="0" applyFont="1" applyFill="1" applyBorder="1" applyAlignment="1">
      <alignment horizontal="center"/>
    </xf>
    <xf numFmtId="0" fontId="13" fillId="0" borderId="0" xfId="0" applyFont="1" applyBorder="1"/>
    <xf numFmtId="0" fontId="8" fillId="0" borderId="0" xfId="0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/>
    </xf>
    <xf numFmtId="0" fontId="22" fillId="0" borderId="3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9" fontId="9" fillId="0" borderId="1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2" fillId="2" borderId="3" xfId="2" applyFont="1" applyFill="1" applyBorder="1" applyAlignment="1">
      <alignment horizontal="center" vertical="center" wrapText="1"/>
    </xf>
    <xf numFmtId="0" fontId="22" fillId="2" borderId="7" xfId="2" applyFont="1" applyFill="1" applyBorder="1" applyAlignment="1">
      <alignment horizontal="center" vertical="center" wrapText="1"/>
    </xf>
    <xf numFmtId="0" fontId="22" fillId="2" borderId="12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ДНЗ №3 Козачок 01.01.11" xfId="3"/>
    <cellStyle name="Обычный_Штати НВК Берізка на 01.01.15р.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0"/>
  <sheetViews>
    <sheetView tabSelected="1" view="pageBreakPreview" zoomScale="85" zoomScaleNormal="85" workbookViewId="0">
      <selection activeCell="AA5" sqref="AA5:AD5"/>
    </sheetView>
  </sheetViews>
  <sheetFormatPr defaultRowHeight="15"/>
  <cols>
    <col min="1" max="1" width="4.140625" customWidth="1"/>
    <col min="2" max="2" width="23.5703125" customWidth="1"/>
    <col min="3" max="3" width="8.5703125" customWidth="1"/>
    <col min="4" max="4" width="12.140625" customWidth="1"/>
    <col min="5" max="5" width="10.7109375" hidden="1" customWidth="1"/>
    <col min="6" max="6" width="12" customWidth="1"/>
    <col min="7" max="7" width="12.42578125" customWidth="1"/>
    <col min="8" max="8" width="11" customWidth="1"/>
    <col min="9" max="9" width="9.28515625" customWidth="1"/>
    <col min="10" max="15" width="9.7109375" hidden="1" customWidth="1"/>
    <col min="16" max="16" width="7.85546875" customWidth="1"/>
    <col min="17" max="17" width="10.85546875" customWidth="1"/>
    <col min="18" max="18" width="10.7109375" customWidth="1"/>
    <col min="19" max="19" width="10.85546875" customWidth="1"/>
    <col min="20" max="20" width="9.42578125" customWidth="1"/>
    <col min="21" max="21" width="8.42578125" hidden="1" customWidth="1"/>
    <col min="22" max="22" width="8" hidden="1" customWidth="1"/>
    <col min="23" max="23" width="7.5703125" customWidth="1"/>
    <col min="24" max="24" width="9.42578125" customWidth="1"/>
    <col min="25" max="25" width="12" customWidth="1"/>
    <col min="26" max="26" width="10.85546875" customWidth="1"/>
    <col min="27" max="27" width="11.5703125" customWidth="1"/>
    <col min="28" max="28" width="12" customWidth="1"/>
    <col min="29" max="29" width="11.85546875" customWidth="1"/>
    <col min="30" max="30" width="14" customWidth="1"/>
    <col min="31" max="31" width="11.7109375" bestFit="1" customWidth="1"/>
  </cols>
  <sheetData>
    <row r="1" spans="1:33" ht="15.75">
      <c r="X1" s="1"/>
      <c r="Y1" s="2"/>
      <c r="Z1" s="3"/>
      <c r="AA1" s="3"/>
      <c r="AB1" s="3"/>
      <c r="AD1" s="3"/>
      <c r="AE1" s="4"/>
      <c r="AF1" s="4"/>
      <c r="AG1" s="4"/>
    </row>
    <row r="2" spans="1:33" ht="6" customHeight="1">
      <c r="X2" s="5"/>
      <c r="Y2" s="6"/>
      <c r="Z2" s="6"/>
      <c r="AA2" s="6"/>
      <c r="AB2" s="6"/>
      <c r="AD2" s="6"/>
      <c r="AE2" s="4"/>
      <c r="AF2" s="4"/>
      <c r="AG2" s="4"/>
    </row>
    <row r="3" spans="1:33" ht="15.75">
      <c r="A3" s="7"/>
      <c r="B3" s="8"/>
      <c r="C3" s="9"/>
      <c r="D3" s="10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X3" s="11"/>
      <c r="Y3" s="11"/>
      <c r="Z3" s="12"/>
      <c r="AA3" s="11"/>
      <c r="AB3" s="11"/>
      <c r="AD3" s="11"/>
      <c r="AE3" s="4"/>
      <c r="AF3" s="4"/>
      <c r="AG3" s="4"/>
    </row>
    <row r="4" spans="1:33" ht="15.75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X4" s="11"/>
      <c r="Y4" s="4"/>
      <c r="Z4" s="11"/>
      <c r="AA4" s="84" t="s">
        <v>63</v>
      </c>
      <c r="AB4" s="84"/>
      <c r="AC4" s="84"/>
      <c r="AD4" s="84"/>
      <c r="AE4" s="4"/>
      <c r="AF4" s="4"/>
      <c r="AG4" s="4"/>
    </row>
    <row r="5" spans="1:33" ht="15.75" customHeight="1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W5" s="80"/>
      <c r="X5" s="73"/>
      <c r="Y5" s="74"/>
      <c r="Z5" s="75"/>
      <c r="AA5" s="84" t="s">
        <v>64</v>
      </c>
      <c r="AB5" s="84"/>
      <c r="AC5" s="84"/>
      <c r="AD5" s="84"/>
      <c r="AE5" s="4"/>
      <c r="AF5" s="4"/>
      <c r="AG5" s="4"/>
    </row>
    <row r="6" spans="1:33" s="16" customFormat="1" ht="18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W6" s="81"/>
      <c r="X6" s="76"/>
      <c r="Y6" s="77"/>
      <c r="Z6" s="78"/>
      <c r="AA6" s="17"/>
      <c r="AB6" s="18"/>
      <c r="AD6" s="18"/>
      <c r="AE6" s="19"/>
      <c r="AF6" s="19"/>
      <c r="AG6" s="19"/>
    </row>
    <row r="7" spans="1:33" s="16" customFormat="1" ht="21.75" customHeight="1">
      <c r="A7" s="20" t="s">
        <v>0</v>
      </c>
      <c r="W7" s="81"/>
      <c r="X7" s="82"/>
      <c r="Y7" s="82"/>
      <c r="Z7" s="83"/>
      <c r="AA7" s="72"/>
      <c r="AB7" s="2"/>
      <c r="AD7" s="21"/>
      <c r="AE7" s="19"/>
      <c r="AF7" s="19"/>
      <c r="AG7" s="19"/>
    </row>
    <row r="8" spans="1:33" s="16" customFormat="1" ht="18.75">
      <c r="A8" s="22" t="s">
        <v>1</v>
      </c>
      <c r="D8" s="23"/>
      <c r="E8" s="24" t="s">
        <v>2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3"/>
      <c r="V8" s="25" t="e">
        <f>Y20+Y21+#REF!+Y32+Y22+Y25</f>
        <v>#REF!</v>
      </c>
      <c r="W8" s="79"/>
      <c r="X8" s="79"/>
      <c r="Y8" s="79"/>
      <c r="Z8" s="79"/>
      <c r="AD8" s="19"/>
      <c r="AE8" s="19"/>
      <c r="AF8" s="19"/>
      <c r="AG8" s="19"/>
    </row>
    <row r="9" spans="1:33" s="27" customFormat="1" ht="15.75" customHeight="1">
      <c r="A9" s="26"/>
      <c r="D9" s="90" t="s">
        <v>62</v>
      </c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Y9" s="28">
        <f>SUM(Y20:Y27)</f>
        <v>50943.46666666666</v>
      </c>
      <c r="Z9" s="29"/>
      <c r="AA9" s="28">
        <f>SUM(AA20:AA27)</f>
        <v>423941.59594444442</v>
      </c>
      <c r="AB9" s="29"/>
      <c r="AC9" s="29"/>
      <c r="AD9" s="29"/>
      <c r="AE9" s="29"/>
      <c r="AF9" s="29"/>
      <c r="AG9" s="29"/>
    </row>
    <row r="10" spans="1:33" s="16" customFormat="1" ht="15.75" hidden="1" customHeight="1">
      <c r="A10" s="30"/>
      <c r="H10" s="31"/>
      <c r="I10" s="32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33" s="16" customFormat="1" ht="12.75" customHeight="1">
      <c r="A11" s="85" t="s">
        <v>3</v>
      </c>
      <c r="B11" s="86" t="s">
        <v>4</v>
      </c>
      <c r="C11" s="86" t="s">
        <v>5</v>
      </c>
      <c r="D11" s="87" t="s">
        <v>6</v>
      </c>
      <c r="E11" s="87" t="s">
        <v>7</v>
      </c>
      <c r="F11" s="86" t="s">
        <v>8</v>
      </c>
      <c r="G11" s="95" t="s">
        <v>9</v>
      </c>
      <c r="H11" s="96"/>
      <c r="I11" s="97"/>
      <c r="J11" s="95" t="s">
        <v>10</v>
      </c>
      <c r="K11" s="96"/>
      <c r="L11" s="96"/>
      <c r="M11" s="96"/>
      <c r="N11" s="96"/>
      <c r="O11" s="96"/>
      <c r="P11" s="95" t="s">
        <v>11</v>
      </c>
      <c r="Q11" s="96"/>
      <c r="R11" s="96"/>
      <c r="S11" s="96"/>
      <c r="T11" s="96"/>
      <c r="U11" s="96"/>
      <c r="V11" s="96"/>
      <c r="W11" s="96"/>
      <c r="X11" s="97"/>
      <c r="Y11" s="94" t="s">
        <v>12</v>
      </c>
      <c r="Z11" s="91" t="s">
        <v>13</v>
      </c>
      <c r="AA11" s="104" t="s">
        <v>14</v>
      </c>
      <c r="AB11" s="91" t="s">
        <v>15</v>
      </c>
      <c r="AC11" s="91" t="s">
        <v>16</v>
      </c>
      <c r="AD11" s="94" t="s">
        <v>17</v>
      </c>
    </row>
    <row r="12" spans="1:33" s="16" customFormat="1" ht="12.75" customHeight="1">
      <c r="A12" s="85"/>
      <c r="B12" s="86"/>
      <c r="C12" s="86"/>
      <c r="D12" s="88"/>
      <c r="E12" s="88"/>
      <c r="F12" s="86"/>
      <c r="G12" s="98"/>
      <c r="H12" s="99"/>
      <c r="I12" s="100"/>
      <c r="J12" s="98"/>
      <c r="K12" s="99"/>
      <c r="L12" s="99"/>
      <c r="M12" s="99"/>
      <c r="N12" s="99"/>
      <c r="O12" s="99"/>
      <c r="P12" s="98"/>
      <c r="Q12" s="99"/>
      <c r="R12" s="99"/>
      <c r="S12" s="99"/>
      <c r="T12" s="99"/>
      <c r="U12" s="99"/>
      <c r="V12" s="99"/>
      <c r="W12" s="99"/>
      <c r="X12" s="100"/>
      <c r="Y12" s="94"/>
      <c r="Z12" s="92"/>
      <c r="AA12" s="104"/>
      <c r="AB12" s="92"/>
      <c r="AC12" s="92"/>
      <c r="AD12" s="94"/>
    </row>
    <row r="13" spans="1:33" s="16" customFormat="1" ht="12.75" customHeight="1">
      <c r="A13" s="85"/>
      <c r="B13" s="86"/>
      <c r="C13" s="86"/>
      <c r="D13" s="88"/>
      <c r="E13" s="88"/>
      <c r="F13" s="86"/>
      <c r="G13" s="101"/>
      <c r="H13" s="102"/>
      <c r="I13" s="103"/>
      <c r="J13" s="101"/>
      <c r="K13" s="102"/>
      <c r="L13" s="102"/>
      <c r="M13" s="102"/>
      <c r="N13" s="102"/>
      <c r="O13" s="102"/>
      <c r="P13" s="101"/>
      <c r="Q13" s="102"/>
      <c r="R13" s="102"/>
      <c r="S13" s="102"/>
      <c r="T13" s="102"/>
      <c r="U13" s="102"/>
      <c r="V13" s="102"/>
      <c r="W13" s="102"/>
      <c r="X13" s="103"/>
      <c r="Y13" s="94"/>
      <c r="Z13" s="92"/>
      <c r="AA13" s="104"/>
      <c r="AB13" s="92"/>
      <c r="AC13" s="92"/>
      <c r="AD13" s="94"/>
    </row>
    <row r="14" spans="1:33" s="16" customFormat="1" ht="12.75" customHeight="1">
      <c r="A14" s="85"/>
      <c r="B14" s="86"/>
      <c r="C14" s="86"/>
      <c r="D14" s="88"/>
      <c r="E14" s="88"/>
      <c r="F14" s="86"/>
      <c r="G14" s="105" t="s">
        <v>18</v>
      </c>
      <c r="H14" s="87" t="s">
        <v>19</v>
      </c>
      <c r="I14" s="87" t="s">
        <v>20</v>
      </c>
      <c r="J14" s="87" t="s">
        <v>21</v>
      </c>
      <c r="K14" s="87" t="s">
        <v>22</v>
      </c>
      <c r="L14" s="87" t="s">
        <v>23</v>
      </c>
      <c r="M14" s="87" t="s">
        <v>24</v>
      </c>
      <c r="N14" s="87" t="s">
        <v>25</v>
      </c>
      <c r="O14" s="87" t="s">
        <v>26</v>
      </c>
      <c r="P14" s="87" t="s">
        <v>27</v>
      </c>
      <c r="Q14" s="111" t="s">
        <v>28</v>
      </c>
      <c r="R14" s="86" t="s">
        <v>29</v>
      </c>
      <c r="S14" s="108" t="s">
        <v>30</v>
      </c>
      <c r="T14" s="87" t="s">
        <v>31</v>
      </c>
      <c r="U14" s="108" t="s">
        <v>32</v>
      </c>
      <c r="V14" s="87" t="s">
        <v>33</v>
      </c>
      <c r="W14" s="87" t="s">
        <v>34</v>
      </c>
      <c r="X14" s="87" t="s">
        <v>35</v>
      </c>
      <c r="Y14" s="94"/>
      <c r="Z14" s="92"/>
      <c r="AA14" s="104"/>
      <c r="AB14" s="92"/>
      <c r="AC14" s="92"/>
      <c r="AD14" s="94"/>
    </row>
    <row r="15" spans="1:33" s="16" customFormat="1" ht="12.75" customHeight="1">
      <c r="A15" s="85"/>
      <c r="B15" s="86"/>
      <c r="C15" s="86"/>
      <c r="D15" s="88"/>
      <c r="E15" s="88"/>
      <c r="F15" s="86"/>
      <c r="G15" s="106"/>
      <c r="H15" s="88"/>
      <c r="I15" s="88"/>
      <c r="J15" s="88"/>
      <c r="K15" s="88"/>
      <c r="L15" s="88"/>
      <c r="M15" s="88"/>
      <c r="N15" s="88"/>
      <c r="O15" s="88"/>
      <c r="P15" s="88"/>
      <c r="Q15" s="112"/>
      <c r="R15" s="86"/>
      <c r="S15" s="109"/>
      <c r="T15" s="88"/>
      <c r="U15" s="109"/>
      <c r="V15" s="88"/>
      <c r="W15" s="88"/>
      <c r="X15" s="88"/>
      <c r="Y15" s="94"/>
      <c r="Z15" s="92"/>
      <c r="AA15" s="104"/>
      <c r="AB15" s="92"/>
      <c r="AC15" s="92"/>
      <c r="AD15" s="94"/>
    </row>
    <row r="16" spans="1:33" s="16" customFormat="1" ht="12.75" customHeight="1">
      <c r="A16" s="85"/>
      <c r="B16" s="86"/>
      <c r="C16" s="86"/>
      <c r="D16" s="88"/>
      <c r="E16" s="88"/>
      <c r="F16" s="86"/>
      <c r="G16" s="106"/>
      <c r="H16" s="88"/>
      <c r="I16" s="88"/>
      <c r="J16" s="88"/>
      <c r="K16" s="88"/>
      <c r="L16" s="88"/>
      <c r="M16" s="88"/>
      <c r="N16" s="88"/>
      <c r="O16" s="88"/>
      <c r="P16" s="88"/>
      <c r="Q16" s="112"/>
      <c r="R16" s="86"/>
      <c r="S16" s="109"/>
      <c r="T16" s="88"/>
      <c r="U16" s="109"/>
      <c r="V16" s="88"/>
      <c r="W16" s="88"/>
      <c r="X16" s="88"/>
      <c r="Y16" s="94"/>
      <c r="Z16" s="92"/>
      <c r="AA16" s="104"/>
      <c r="AB16" s="92"/>
      <c r="AC16" s="92"/>
      <c r="AD16" s="94"/>
    </row>
    <row r="17" spans="1:31" s="16" customFormat="1" ht="12.75" customHeight="1">
      <c r="A17" s="85"/>
      <c r="B17" s="86"/>
      <c r="C17" s="86"/>
      <c r="D17" s="88"/>
      <c r="E17" s="88"/>
      <c r="F17" s="86"/>
      <c r="G17" s="106"/>
      <c r="H17" s="88"/>
      <c r="I17" s="88"/>
      <c r="J17" s="88"/>
      <c r="K17" s="88"/>
      <c r="L17" s="88"/>
      <c r="M17" s="88"/>
      <c r="N17" s="88"/>
      <c r="O17" s="88"/>
      <c r="P17" s="88"/>
      <c r="Q17" s="112"/>
      <c r="R17" s="86"/>
      <c r="S17" s="109"/>
      <c r="T17" s="88"/>
      <c r="U17" s="109"/>
      <c r="V17" s="88"/>
      <c r="W17" s="88"/>
      <c r="X17" s="88"/>
      <c r="Y17" s="94"/>
      <c r="Z17" s="92"/>
      <c r="AA17" s="104"/>
      <c r="AB17" s="92"/>
      <c r="AC17" s="92"/>
      <c r="AD17" s="94"/>
    </row>
    <row r="18" spans="1:31" s="16" customFormat="1" ht="12.75" customHeight="1">
      <c r="A18" s="85"/>
      <c r="B18" s="86"/>
      <c r="C18" s="86"/>
      <c r="D18" s="88"/>
      <c r="E18" s="88"/>
      <c r="F18" s="86"/>
      <c r="G18" s="106"/>
      <c r="H18" s="88"/>
      <c r="I18" s="88"/>
      <c r="J18" s="88"/>
      <c r="K18" s="88"/>
      <c r="L18" s="88"/>
      <c r="M18" s="88"/>
      <c r="N18" s="88"/>
      <c r="O18" s="88"/>
      <c r="P18" s="88"/>
      <c r="Q18" s="112"/>
      <c r="R18" s="86"/>
      <c r="S18" s="109"/>
      <c r="T18" s="88"/>
      <c r="U18" s="109"/>
      <c r="V18" s="88"/>
      <c r="W18" s="88"/>
      <c r="X18" s="88"/>
      <c r="Y18" s="94"/>
      <c r="Z18" s="92"/>
      <c r="AA18" s="104"/>
      <c r="AB18" s="92"/>
      <c r="AC18" s="92"/>
      <c r="AD18" s="94"/>
    </row>
    <row r="19" spans="1:31" s="16" customFormat="1" ht="42" customHeight="1">
      <c r="A19" s="85"/>
      <c r="B19" s="86"/>
      <c r="C19" s="86"/>
      <c r="D19" s="89"/>
      <c r="E19" s="89"/>
      <c r="F19" s="86"/>
      <c r="G19" s="107"/>
      <c r="H19" s="89"/>
      <c r="I19" s="89"/>
      <c r="J19" s="89"/>
      <c r="K19" s="89"/>
      <c r="L19" s="89"/>
      <c r="M19" s="89"/>
      <c r="N19" s="89"/>
      <c r="O19" s="89"/>
      <c r="P19" s="89"/>
      <c r="Q19" s="113"/>
      <c r="R19" s="86"/>
      <c r="S19" s="110"/>
      <c r="T19" s="89"/>
      <c r="U19" s="110"/>
      <c r="V19" s="89"/>
      <c r="W19" s="89"/>
      <c r="X19" s="89"/>
      <c r="Y19" s="94"/>
      <c r="Z19" s="93"/>
      <c r="AA19" s="104"/>
      <c r="AB19" s="93"/>
      <c r="AC19" s="93"/>
      <c r="AD19" s="94"/>
    </row>
    <row r="20" spans="1:31" s="19" customFormat="1" ht="15.75">
      <c r="A20" s="33">
        <v>1</v>
      </c>
      <c r="B20" s="34" t="s">
        <v>36</v>
      </c>
      <c r="C20" s="33">
        <v>1</v>
      </c>
      <c r="D20" s="35">
        <v>7342</v>
      </c>
      <c r="E20" s="36"/>
      <c r="F20" s="37">
        <f>D20+D20*0.2</f>
        <v>8810.4</v>
      </c>
      <c r="G20" s="36">
        <f>F20*30%</f>
        <v>2643.12</v>
      </c>
      <c r="H20" s="36">
        <f>F20*30%</f>
        <v>2643.12</v>
      </c>
      <c r="I20" s="36"/>
      <c r="J20" s="36"/>
      <c r="K20" s="36"/>
      <c r="L20" s="36"/>
      <c r="M20" s="36"/>
      <c r="N20" s="36"/>
      <c r="O20" s="36"/>
      <c r="P20" s="36"/>
      <c r="Q20" s="37"/>
      <c r="R20" s="36"/>
      <c r="S20" s="37"/>
      <c r="T20" s="37"/>
      <c r="U20" s="37"/>
      <c r="V20" s="37"/>
      <c r="W20" s="37"/>
      <c r="X20" s="37"/>
      <c r="Y20" s="37">
        <f>F20*0.3</f>
        <v>2643.12</v>
      </c>
      <c r="Z20" s="37"/>
      <c r="AA20" s="38">
        <f>SUM(F20:Y20)</f>
        <v>16739.759999999998</v>
      </c>
      <c r="AB20" s="37"/>
      <c r="AC20" s="37"/>
      <c r="AD20" s="38">
        <f>AA20*6+AB20+AC20</f>
        <v>100438.56</v>
      </c>
    </row>
    <row r="21" spans="1:31" s="19" customFormat="1" ht="17.25" customHeight="1">
      <c r="A21" s="33">
        <v>2</v>
      </c>
      <c r="B21" s="39" t="s">
        <v>37</v>
      </c>
      <c r="C21" s="40">
        <v>1</v>
      </c>
      <c r="D21" s="41">
        <f>ROUND(D20*0.95,0)</f>
        <v>6975</v>
      </c>
      <c r="E21" s="36"/>
      <c r="F21" s="36">
        <f>D21+D21*0.2</f>
        <v>8370</v>
      </c>
      <c r="G21" s="36">
        <f>F21*30%</f>
        <v>2511</v>
      </c>
      <c r="H21" s="36">
        <f>F21*30%</f>
        <v>2511</v>
      </c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>
        <f>F21*0.2</f>
        <v>1674</v>
      </c>
      <c r="Z21" s="37"/>
      <c r="AA21" s="42">
        <f>SUM(F21:Y21)</f>
        <v>15066</v>
      </c>
      <c r="AB21" s="36"/>
      <c r="AC21" s="36"/>
      <c r="AD21" s="38">
        <f t="shared" ref="AD21:AD29" si="0">AA21*6+AB21+AC21</f>
        <v>90396</v>
      </c>
    </row>
    <row r="22" spans="1:31" s="19" customFormat="1" ht="19.5" customHeight="1">
      <c r="A22" s="33">
        <v>4</v>
      </c>
      <c r="B22" s="34" t="s">
        <v>38</v>
      </c>
      <c r="C22" s="33">
        <v>1</v>
      </c>
      <c r="D22" s="41">
        <v>7107</v>
      </c>
      <c r="E22" s="36"/>
      <c r="F22" s="37">
        <f>(D22+E22)*C22</f>
        <v>7107</v>
      </c>
      <c r="G22" s="36">
        <f>F22*20%</f>
        <v>1421.4</v>
      </c>
      <c r="H22" s="36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>
        <f>F22*0.3</f>
        <v>2132.1</v>
      </c>
      <c r="Z22" s="37"/>
      <c r="AA22" s="38">
        <f t="shared" ref="AA22:AA29" si="1">SUM(F22:Y22)</f>
        <v>10660.5</v>
      </c>
      <c r="AB22" s="37"/>
      <c r="AC22" s="37"/>
      <c r="AD22" s="38">
        <f t="shared" si="0"/>
        <v>63963</v>
      </c>
    </row>
    <row r="23" spans="1:31" s="19" customFormat="1" ht="19.5" customHeight="1">
      <c r="A23" s="33">
        <v>5</v>
      </c>
      <c r="B23" s="34" t="s">
        <v>39</v>
      </c>
      <c r="C23" s="33">
        <v>1</v>
      </c>
      <c r="D23" s="41">
        <v>5786</v>
      </c>
      <c r="E23" s="36"/>
      <c r="F23" s="37">
        <f>(D23+E23)*C23</f>
        <v>5786</v>
      </c>
      <c r="G23" s="36">
        <f>F23*20%</f>
        <v>1157.2</v>
      </c>
      <c r="H23" s="36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>
        <f>5786*0.5*0.1+5786*0.5*0.2</f>
        <v>867.90000000000009</v>
      </c>
      <c r="Z23" s="37"/>
      <c r="AA23" s="38">
        <f t="shared" si="1"/>
        <v>7811.1</v>
      </c>
      <c r="AB23" s="37"/>
      <c r="AC23" s="37"/>
      <c r="AD23" s="38">
        <f t="shared" si="0"/>
        <v>46866.600000000006</v>
      </c>
    </row>
    <row r="24" spans="1:31" s="19" customFormat="1" ht="19.5" customHeight="1">
      <c r="A24" s="33">
        <v>6</v>
      </c>
      <c r="B24" s="34" t="s">
        <v>40</v>
      </c>
      <c r="C24" s="33">
        <v>1</v>
      </c>
      <c r="D24" s="41">
        <f>5345*0.5+6226*0.5</f>
        <v>5785.5</v>
      </c>
      <c r="E24" s="36"/>
      <c r="F24" s="37">
        <f>(D24+E24)*C24</f>
        <v>5785.5</v>
      </c>
      <c r="G24" s="36">
        <f>F24*20%</f>
        <v>1157.1000000000001</v>
      </c>
      <c r="H24" s="36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>
        <f>5345*0.5*0.2+6226*0.5*0.3</f>
        <v>1468.4</v>
      </c>
      <c r="Z24" s="37"/>
      <c r="AA24" s="38">
        <f t="shared" si="1"/>
        <v>8411</v>
      </c>
      <c r="AB24" s="37"/>
      <c r="AC24" s="37"/>
      <c r="AD24" s="38">
        <f t="shared" si="0"/>
        <v>50466</v>
      </c>
    </row>
    <row r="25" spans="1:31" s="19" customFormat="1" ht="20.25" customHeight="1">
      <c r="A25" s="33">
        <v>7</v>
      </c>
      <c r="B25" s="34" t="s">
        <v>41</v>
      </c>
      <c r="C25" s="33">
        <v>0.5</v>
      </c>
      <c r="D25" s="37">
        <v>5345</v>
      </c>
      <c r="E25" s="36"/>
      <c r="F25" s="37">
        <f>(D25+E25)*C25</f>
        <v>2672.5</v>
      </c>
      <c r="G25" s="36">
        <f>F25*20%</f>
        <v>534.5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>
        <f>F25*0.3</f>
        <v>801.75</v>
      </c>
      <c r="Z25" s="37"/>
      <c r="AA25" s="38">
        <f>SUM(F25:Y25)</f>
        <v>4008.75</v>
      </c>
      <c r="AB25" s="37"/>
      <c r="AC25" s="37"/>
      <c r="AD25" s="38">
        <f t="shared" si="0"/>
        <v>24052.5</v>
      </c>
    </row>
    <row r="26" spans="1:31" s="19" customFormat="1" ht="20.25" customHeight="1">
      <c r="A26" s="33">
        <v>8</v>
      </c>
      <c r="B26" s="43" t="s">
        <v>42</v>
      </c>
      <c r="C26" s="36">
        <v>14.78</v>
      </c>
      <c r="D26" s="41">
        <f>F26/C26</f>
        <v>6430.9206886182528</v>
      </c>
      <c r="E26" s="36"/>
      <c r="F26" s="41">
        <f>7107*0.1+7107/18*71+6667/18*21+6226/18*124+5786/18*47+5345/18*3-361.97</f>
        <v>95049.007777777777</v>
      </c>
      <c r="G26" s="36">
        <f>F26*30%-1.19</f>
        <v>28513.512333333332</v>
      </c>
      <c r="H26" s="41"/>
      <c r="I26" s="36"/>
      <c r="J26" s="36"/>
      <c r="K26" s="36"/>
      <c r="L26" s="36"/>
      <c r="M26" s="36"/>
      <c r="N26" s="36"/>
      <c r="O26" s="36"/>
      <c r="P26" s="36"/>
      <c r="Q26" s="36"/>
      <c r="R26" s="41">
        <f>(7107/18*57.5+6667/18*21+6226/18*108+5786/18*45.5+5345/18*3)*0.15-260</f>
        <v>12243.045833333332</v>
      </c>
      <c r="S26" s="41">
        <f>7107*2*0.2+6667*0.2+6226*6*0.2+5786*2*0.2-177.69</f>
        <v>13784.11</v>
      </c>
      <c r="T26" s="41">
        <f>(5786+6226+7107)*0.1+155.67</f>
        <v>2067.5700000000002</v>
      </c>
      <c r="U26" s="36"/>
      <c r="V26" s="41"/>
      <c r="X26" s="41"/>
      <c r="Y26" s="41">
        <f>(7107/18*51+6667/18*21)*0.3+(6226/18*19+7107/18*20)*0.2+(6226/18*87+5345/18*3)*0.1+1088.83</f>
        <v>15455.257777777779</v>
      </c>
      <c r="Z26" s="37"/>
      <c r="AA26" s="38">
        <f>SUM(F26:Y26)+1009.77</f>
        <v>168122.27372222222</v>
      </c>
      <c r="AB26" s="37"/>
      <c r="AC26" s="37"/>
      <c r="AD26" s="38">
        <f t="shared" si="0"/>
        <v>1008733.6423333334</v>
      </c>
    </row>
    <row r="27" spans="1:31" s="19" customFormat="1" ht="18.75" customHeight="1">
      <c r="A27" s="33">
        <v>9</v>
      </c>
      <c r="B27" s="34" t="s">
        <v>43</v>
      </c>
      <c r="C27" s="36">
        <v>18.86</v>
      </c>
      <c r="D27" s="41">
        <f>F27/C27</f>
        <v>6526.6666666666679</v>
      </c>
      <c r="E27" s="36"/>
      <c r="F27" s="41">
        <f>7107/18*104+6667/18*74.5+6226/18*69.5+5786/18*58.5+5345/18*33+1793.35</f>
        <v>123092.93333333335</v>
      </c>
      <c r="G27" s="36">
        <f>F27*20%</f>
        <v>24618.58666666667</v>
      </c>
      <c r="H27" s="37"/>
      <c r="I27" s="36"/>
      <c r="J27" s="36"/>
      <c r="K27" s="36"/>
      <c r="L27" s="36"/>
      <c r="M27" s="36"/>
      <c r="N27" s="36"/>
      <c r="O27" s="36"/>
      <c r="P27" s="36"/>
      <c r="Q27" s="36"/>
      <c r="R27" s="41">
        <f>(7107/18*23+6667/18*26+6226/18*45.5+5786/18*32.5+5345/18*23)*0.15+527.57</f>
        <v>8286.4533333333329</v>
      </c>
      <c r="S27" s="41">
        <f>7107*2*0.25+6667*2*0.25+6226*0.25+5786*0.25</f>
        <v>9890</v>
      </c>
      <c r="T27" s="41">
        <f>(6226+7107)*0.1</f>
        <v>1333.3000000000002</v>
      </c>
      <c r="U27" s="36"/>
      <c r="V27" s="36"/>
      <c r="W27" s="41"/>
      <c r="X27" s="36"/>
      <c r="Y27" s="41">
        <f>(7107/18*98+6667/18*26+6226/18*25.5+5786/18*13.5)*0.3+(6667/18*48+5786/18*19+7107/18*6)*0.2+(6226/18*44+5345/18*23)*0.1</f>
        <v>25900.938888888886</v>
      </c>
      <c r="Z27" s="37"/>
      <c r="AA27" s="38">
        <f>SUM(F27:Y27)</f>
        <v>193122.21222222224</v>
      </c>
      <c r="AB27" s="37"/>
      <c r="AC27" s="37"/>
      <c r="AD27" s="38">
        <f t="shared" si="0"/>
        <v>1158733.2733333334</v>
      </c>
    </row>
    <row r="28" spans="1:31" s="19" customFormat="1" ht="18.75" customHeight="1">
      <c r="A28" s="33"/>
      <c r="B28" s="34" t="s">
        <v>44</v>
      </c>
      <c r="C28" s="36">
        <v>2.83</v>
      </c>
      <c r="D28" s="41">
        <f>F28/C28</f>
        <v>6471.740478994896</v>
      </c>
      <c r="E28" s="36"/>
      <c r="F28" s="41">
        <f>7107/18*13+6667/18*14.5+6226/18*6.5+5786/18*17+98.72</f>
        <v>18315.025555555556</v>
      </c>
      <c r="G28" s="36">
        <f>F28*20%</f>
        <v>3663.0051111111115</v>
      </c>
      <c r="H28" s="37"/>
      <c r="I28" s="36"/>
      <c r="J28" s="36"/>
      <c r="K28" s="36"/>
      <c r="L28" s="36"/>
      <c r="M28" s="36"/>
      <c r="N28" s="36"/>
      <c r="O28" s="36"/>
      <c r="P28" s="36"/>
      <c r="Q28" s="36"/>
      <c r="R28" s="41">
        <f>6226/18*6*0.1</f>
        <v>207.53333333333336</v>
      </c>
      <c r="S28" s="41">
        <f>6226*2*0.25</f>
        <v>3113</v>
      </c>
      <c r="T28" s="41"/>
      <c r="U28" s="36"/>
      <c r="V28" s="36"/>
      <c r="W28" s="41"/>
      <c r="X28" s="36"/>
      <c r="Y28" s="41">
        <f>(7107/18*3+5786/18*9)*0.3+(6667/18*14.5+5786/18*2+7107/18*10)*0.2+(6226/18*6.5)*0.1</f>
        <v>3440.45</v>
      </c>
      <c r="Z28" s="37"/>
      <c r="AA28" s="38">
        <f>SUM(F28:Y28)</f>
        <v>28739.013999999999</v>
      </c>
      <c r="AB28" s="37"/>
      <c r="AC28" s="37"/>
      <c r="AD28" s="38">
        <f t="shared" si="0"/>
        <v>172434.084</v>
      </c>
    </row>
    <row r="29" spans="1:31" s="19" customFormat="1" ht="18.75" customHeight="1">
      <c r="A29" s="33">
        <v>10</v>
      </c>
      <c r="B29" s="34" t="s">
        <v>45</v>
      </c>
      <c r="C29" s="36">
        <v>1</v>
      </c>
      <c r="D29" s="41">
        <f>F29/C29</f>
        <v>5786</v>
      </c>
      <c r="E29" s="36"/>
      <c r="F29" s="41">
        <v>5786</v>
      </c>
      <c r="G29" s="36">
        <f>F29*20%</f>
        <v>1157.2</v>
      </c>
      <c r="H29" s="37"/>
      <c r="I29" s="36"/>
      <c r="J29" s="36"/>
      <c r="K29" s="36"/>
      <c r="L29" s="36"/>
      <c r="M29" s="36"/>
      <c r="N29" s="36"/>
      <c r="O29" s="36"/>
      <c r="P29" s="36"/>
      <c r="Q29" s="36">
        <f>F29*0.2</f>
        <v>1157.2</v>
      </c>
      <c r="R29" s="41"/>
      <c r="S29" s="41"/>
      <c r="T29" s="37"/>
      <c r="U29" s="36"/>
      <c r="V29" s="36"/>
      <c r="W29" s="41"/>
      <c r="X29" s="36"/>
      <c r="Y29" s="41">
        <f>5786*0.1</f>
        <v>578.6</v>
      </c>
      <c r="Z29" s="37"/>
      <c r="AA29" s="38">
        <f t="shared" si="1"/>
        <v>8679</v>
      </c>
      <c r="AB29" s="37"/>
      <c r="AC29" s="37"/>
      <c r="AD29" s="38">
        <f t="shared" si="0"/>
        <v>52074</v>
      </c>
    </row>
    <row r="30" spans="1:31" s="19" customFormat="1" ht="24" customHeight="1">
      <c r="A30" s="33"/>
      <c r="B30" s="44" t="s">
        <v>46</v>
      </c>
      <c r="C30" s="45">
        <f t="shared" ref="C30:AD30" si="2">SUM(C20:C29)</f>
        <v>42.97</v>
      </c>
      <c r="D30" s="45">
        <f t="shared" si="2"/>
        <v>63555.827834279815</v>
      </c>
      <c r="E30" s="45">
        <f t="shared" si="2"/>
        <v>0</v>
      </c>
      <c r="F30" s="45">
        <f t="shared" si="2"/>
        <v>280774.3666666667</v>
      </c>
      <c r="G30" s="45">
        <f t="shared" si="2"/>
        <v>67376.624111111116</v>
      </c>
      <c r="H30" s="45">
        <f t="shared" si="2"/>
        <v>5154.12</v>
      </c>
      <c r="I30" s="45">
        <f t="shared" si="2"/>
        <v>0</v>
      </c>
      <c r="J30" s="45">
        <f t="shared" si="2"/>
        <v>0</v>
      </c>
      <c r="K30" s="45">
        <f t="shared" si="2"/>
        <v>0</v>
      </c>
      <c r="L30" s="45">
        <f t="shared" si="2"/>
        <v>0</v>
      </c>
      <c r="M30" s="45">
        <f t="shared" si="2"/>
        <v>0</v>
      </c>
      <c r="N30" s="45">
        <f t="shared" si="2"/>
        <v>0</v>
      </c>
      <c r="O30" s="45">
        <f t="shared" si="2"/>
        <v>0</v>
      </c>
      <c r="P30" s="45">
        <f t="shared" si="2"/>
        <v>0</v>
      </c>
      <c r="Q30" s="45">
        <f t="shared" si="2"/>
        <v>1157.2</v>
      </c>
      <c r="R30" s="45">
        <f t="shared" si="2"/>
        <v>20737.032499999998</v>
      </c>
      <c r="S30" s="45">
        <f t="shared" si="2"/>
        <v>26787.11</v>
      </c>
      <c r="T30" s="45">
        <f t="shared" si="2"/>
        <v>3400.8700000000003</v>
      </c>
      <c r="U30" s="45">
        <f t="shared" si="2"/>
        <v>0</v>
      </c>
      <c r="V30" s="45">
        <f t="shared" si="2"/>
        <v>0</v>
      </c>
      <c r="W30" s="45">
        <f t="shared" si="2"/>
        <v>0</v>
      </c>
      <c r="X30" s="45">
        <f t="shared" si="2"/>
        <v>0</v>
      </c>
      <c r="Y30" s="45">
        <f t="shared" si="2"/>
        <v>54962.516666666656</v>
      </c>
      <c r="Z30" s="45">
        <f t="shared" si="2"/>
        <v>0</v>
      </c>
      <c r="AA30" s="45">
        <f t="shared" si="2"/>
        <v>461359.60994444444</v>
      </c>
      <c r="AB30" s="45">
        <f t="shared" si="2"/>
        <v>0</v>
      </c>
      <c r="AC30" s="45">
        <f t="shared" si="2"/>
        <v>0</v>
      </c>
      <c r="AD30" s="45">
        <f t="shared" si="2"/>
        <v>2768157.6596666668</v>
      </c>
      <c r="AE30" s="19">
        <f>AA30/AA43</f>
        <v>0.81045928729965189</v>
      </c>
    </row>
    <row r="31" spans="1:31" s="19" customFormat="1" ht="31.5">
      <c r="A31" s="33">
        <v>10</v>
      </c>
      <c r="B31" s="34" t="s">
        <v>47</v>
      </c>
      <c r="C31" s="33">
        <v>1</v>
      </c>
      <c r="D31" s="35">
        <v>4379</v>
      </c>
      <c r="E31" s="37"/>
      <c r="F31" s="37">
        <f t="shared" ref="F31:F41" si="3">D31*C31</f>
        <v>4379</v>
      </c>
      <c r="G31" s="37"/>
      <c r="H31" s="36">
        <f>F31*0.3</f>
        <v>1313.7</v>
      </c>
      <c r="I31" s="46"/>
      <c r="J31" s="46"/>
      <c r="K31" s="46"/>
      <c r="L31" s="46"/>
      <c r="M31" s="46"/>
      <c r="N31" s="46"/>
      <c r="O31" s="46"/>
      <c r="P31" s="46"/>
      <c r="Q31" s="37"/>
      <c r="R31" s="37"/>
      <c r="S31" s="37"/>
      <c r="T31" s="46"/>
      <c r="U31" s="47"/>
      <c r="V31" s="47"/>
      <c r="W31" s="37"/>
      <c r="X31" s="37"/>
      <c r="Y31" s="37"/>
      <c r="Z31" s="37">
        <f>6000*C31-(F31+H31+I31+P31+Y31)</f>
        <v>307.30000000000018</v>
      </c>
      <c r="AA31" s="38">
        <f>SUM(F31:Z31)</f>
        <v>6000</v>
      </c>
      <c r="AB31" s="37">
        <v>0</v>
      </c>
      <c r="AC31" s="37"/>
      <c r="AD31" s="38">
        <f>AA31*6+AB31+AC31</f>
        <v>36000</v>
      </c>
    </row>
    <row r="32" spans="1:31" s="19" customFormat="1" ht="18.75" customHeight="1">
      <c r="A32" s="33">
        <v>11</v>
      </c>
      <c r="B32" s="34" t="s">
        <v>48</v>
      </c>
      <c r="C32" s="33">
        <v>1</v>
      </c>
      <c r="D32" s="41">
        <v>4379</v>
      </c>
      <c r="E32" s="36"/>
      <c r="F32" s="37">
        <f t="shared" si="3"/>
        <v>4379</v>
      </c>
      <c r="G32" s="36"/>
      <c r="H32" s="36"/>
      <c r="I32" s="37">
        <f>F32*0.5</f>
        <v>2189.5</v>
      </c>
      <c r="J32" s="37"/>
      <c r="K32" s="37"/>
      <c r="L32" s="37"/>
      <c r="M32" s="37"/>
      <c r="N32" s="37"/>
      <c r="O32" s="37"/>
      <c r="P32" s="37">
        <f>F32*0.15</f>
        <v>656.85</v>
      </c>
      <c r="Q32" s="37"/>
      <c r="R32" s="37"/>
      <c r="S32" s="37"/>
      <c r="T32" s="37"/>
      <c r="U32" s="37"/>
      <c r="V32" s="37"/>
      <c r="W32" s="37"/>
      <c r="X32" s="37"/>
      <c r="Y32" s="37">
        <f>F32*0.3</f>
        <v>1313.7</v>
      </c>
      <c r="Z32" s="37"/>
      <c r="AA32" s="38">
        <f>SUM(F32:Z32)</f>
        <v>8539.0500000000011</v>
      </c>
      <c r="AB32" s="37">
        <v>0</v>
      </c>
      <c r="AC32" s="37"/>
      <c r="AD32" s="38">
        <f t="shared" ref="AD32:AD41" si="4">AA32*6+AB32+AC32</f>
        <v>51234.3</v>
      </c>
    </row>
    <row r="33" spans="1:33" s="19" customFormat="1" ht="30.75" customHeight="1">
      <c r="A33" s="33">
        <v>12</v>
      </c>
      <c r="B33" s="34" t="s">
        <v>49</v>
      </c>
      <c r="C33" s="48">
        <v>1</v>
      </c>
      <c r="D33" s="41">
        <v>4619</v>
      </c>
      <c r="E33" s="41"/>
      <c r="F33" s="37">
        <f t="shared" si="3"/>
        <v>4619</v>
      </c>
      <c r="G33" s="36"/>
      <c r="H33" s="36">
        <f>F33*0.5</f>
        <v>2309.5</v>
      </c>
      <c r="I33" s="36"/>
      <c r="J33" s="36"/>
      <c r="K33" s="36"/>
      <c r="L33" s="36"/>
      <c r="M33" s="36"/>
      <c r="N33" s="36"/>
      <c r="O33" s="36"/>
      <c r="P33" s="36"/>
      <c r="Q33" s="36"/>
      <c r="R33" s="41"/>
      <c r="S33" s="41"/>
      <c r="T33" s="36"/>
      <c r="U33" s="36"/>
      <c r="V33" s="36"/>
      <c r="W33" s="41"/>
      <c r="X33" s="36">
        <f>F33*0.1</f>
        <v>461.90000000000003</v>
      </c>
      <c r="Y33" s="41">
        <f>D33*0.2</f>
        <v>923.80000000000007</v>
      </c>
      <c r="Z33" s="37"/>
      <c r="AA33" s="38">
        <f>SUM(F33:Z33)-33.1</f>
        <v>8281.0999999999985</v>
      </c>
      <c r="AB33" s="37">
        <v>0</v>
      </c>
      <c r="AC33" s="37"/>
      <c r="AD33" s="38">
        <f t="shared" si="4"/>
        <v>49686.599999999991</v>
      </c>
    </row>
    <row r="34" spans="1:33" s="19" customFormat="1" ht="17.25" customHeight="1">
      <c r="A34" s="33">
        <v>13</v>
      </c>
      <c r="B34" s="34" t="s">
        <v>50</v>
      </c>
      <c r="C34" s="33">
        <v>1</v>
      </c>
      <c r="D34" s="35">
        <v>4619</v>
      </c>
      <c r="E34" s="37"/>
      <c r="F34" s="37">
        <f t="shared" si="3"/>
        <v>4619</v>
      </c>
      <c r="G34" s="37"/>
      <c r="H34" s="37">
        <f>F34*0.5</f>
        <v>2309.5</v>
      </c>
      <c r="I34" s="46"/>
      <c r="J34" s="46"/>
      <c r="K34" s="46"/>
      <c r="L34" s="46"/>
      <c r="M34" s="46"/>
      <c r="N34" s="46"/>
      <c r="O34" s="46"/>
      <c r="P34" s="46"/>
      <c r="Q34" s="37"/>
      <c r="R34" s="37"/>
      <c r="S34" s="37"/>
      <c r="T34" s="46"/>
      <c r="U34" s="47"/>
      <c r="V34" s="47"/>
      <c r="W34" s="37"/>
      <c r="X34" s="37"/>
      <c r="Y34" s="37"/>
      <c r="Z34" s="37"/>
      <c r="AA34" s="38">
        <f t="shared" ref="AA34:AA40" si="5">SUM(F34:Z34)</f>
        <v>6928.5</v>
      </c>
      <c r="AB34" s="37">
        <v>0</v>
      </c>
      <c r="AC34" s="37"/>
      <c r="AD34" s="38">
        <f t="shared" si="4"/>
        <v>41571</v>
      </c>
    </row>
    <row r="35" spans="1:33" s="19" customFormat="1" ht="15.75">
      <c r="A35" s="33">
        <v>13</v>
      </c>
      <c r="B35" s="34" t="s">
        <v>51</v>
      </c>
      <c r="C35" s="33">
        <v>1</v>
      </c>
      <c r="D35" s="35">
        <v>3631</v>
      </c>
      <c r="E35" s="37"/>
      <c r="F35" s="37">
        <f t="shared" si="3"/>
        <v>3631</v>
      </c>
      <c r="G35" s="37"/>
      <c r="H35" s="37"/>
      <c r="I35" s="46"/>
      <c r="J35" s="46"/>
      <c r="K35" s="46"/>
      <c r="L35" s="46"/>
      <c r="M35" s="46"/>
      <c r="N35" s="46"/>
      <c r="O35" s="46"/>
      <c r="P35" s="46"/>
      <c r="Q35" s="37"/>
      <c r="R35" s="37"/>
      <c r="S35" s="37"/>
      <c r="T35" s="46"/>
      <c r="U35" s="47"/>
      <c r="V35" s="47"/>
      <c r="W35" s="37"/>
      <c r="X35" s="37"/>
      <c r="Y35" s="37"/>
      <c r="Z35" s="37">
        <f t="shared" ref="Z35:Z41" si="6">6000*C35-(F35+H35+I35+P35+Y35)</f>
        <v>2369</v>
      </c>
      <c r="AA35" s="38">
        <f t="shared" si="5"/>
        <v>6000</v>
      </c>
      <c r="AB35" s="37">
        <v>0</v>
      </c>
      <c r="AC35" s="37"/>
      <c r="AD35" s="38">
        <f t="shared" si="4"/>
        <v>36000</v>
      </c>
    </row>
    <row r="36" spans="1:33" s="19" customFormat="1" ht="49.5" customHeight="1">
      <c r="A36" s="33">
        <v>14</v>
      </c>
      <c r="B36" s="49" t="s">
        <v>52</v>
      </c>
      <c r="C36" s="33">
        <v>1</v>
      </c>
      <c r="D36" s="35">
        <v>4379</v>
      </c>
      <c r="E36" s="50"/>
      <c r="F36" s="37">
        <f t="shared" si="3"/>
        <v>4379</v>
      </c>
      <c r="G36" s="37"/>
      <c r="H36" s="37"/>
      <c r="I36" s="50"/>
      <c r="J36" s="50"/>
      <c r="K36" s="50"/>
      <c r="L36" s="50"/>
      <c r="M36" s="50"/>
      <c r="N36" s="50"/>
      <c r="O36" s="50"/>
      <c r="P36" s="50"/>
      <c r="Q36" s="51"/>
      <c r="R36" s="51"/>
      <c r="S36" s="50"/>
      <c r="T36" s="50"/>
      <c r="U36" s="37"/>
      <c r="V36" s="37"/>
      <c r="W36" s="50"/>
      <c r="X36" s="50"/>
      <c r="Y36" s="37"/>
      <c r="Z36" s="37">
        <f t="shared" si="6"/>
        <v>1621</v>
      </c>
      <c r="AA36" s="38">
        <f t="shared" si="5"/>
        <v>6000</v>
      </c>
      <c r="AB36" s="37">
        <v>0</v>
      </c>
      <c r="AC36" s="37"/>
      <c r="AD36" s="38">
        <f t="shared" si="4"/>
        <v>36000</v>
      </c>
    </row>
    <row r="37" spans="1:33" s="19" customFormat="1" ht="15.75">
      <c r="A37" s="33">
        <v>15</v>
      </c>
      <c r="B37" s="34" t="s">
        <v>53</v>
      </c>
      <c r="C37" s="33">
        <v>2.5</v>
      </c>
      <c r="D37" s="35">
        <v>2910</v>
      </c>
      <c r="E37" s="50"/>
      <c r="F37" s="37">
        <f t="shared" si="3"/>
        <v>7275</v>
      </c>
      <c r="G37" s="37"/>
      <c r="H37" s="37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2"/>
      <c r="V37" s="52"/>
      <c r="W37" s="50"/>
      <c r="X37" s="37">
        <f>((F37/167)*1.4)*23</f>
        <v>1402.7245508982037</v>
      </c>
      <c r="Y37" s="37"/>
      <c r="Z37" s="37">
        <f t="shared" si="6"/>
        <v>7725</v>
      </c>
      <c r="AA37" s="38">
        <f t="shared" si="5"/>
        <v>16402.724550898201</v>
      </c>
      <c r="AB37" s="37">
        <v>0</v>
      </c>
      <c r="AC37" s="37"/>
      <c r="AD37" s="38">
        <f t="shared" si="4"/>
        <v>98416.347305389208</v>
      </c>
    </row>
    <row r="38" spans="1:33" s="19" customFormat="1" ht="15.75">
      <c r="A38" s="33">
        <v>16</v>
      </c>
      <c r="B38" s="34" t="s">
        <v>54</v>
      </c>
      <c r="C38" s="33">
        <f>0.5+0.5</f>
        <v>1</v>
      </c>
      <c r="D38" s="35">
        <v>2670</v>
      </c>
      <c r="E38" s="50"/>
      <c r="F38" s="37">
        <f t="shared" si="3"/>
        <v>2670</v>
      </c>
      <c r="G38" s="37"/>
      <c r="H38" s="37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2"/>
      <c r="V38" s="52"/>
      <c r="W38" s="50"/>
      <c r="X38" s="37"/>
      <c r="Y38" s="35"/>
      <c r="Z38" s="37">
        <f t="shared" si="6"/>
        <v>3330</v>
      </c>
      <c r="AA38" s="38">
        <f t="shared" si="5"/>
        <v>6000</v>
      </c>
      <c r="AB38" s="37">
        <v>0</v>
      </c>
      <c r="AC38" s="37"/>
      <c r="AD38" s="38">
        <f t="shared" si="4"/>
        <v>36000</v>
      </c>
    </row>
    <row r="39" spans="1:33" s="19" customFormat="1" ht="31.5">
      <c r="A39" s="33">
        <v>18</v>
      </c>
      <c r="B39" s="34" t="s">
        <v>55</v>
      </c>
      <c r="C39" s="33">
        <v>6</v>
      </c>
      <c r="D39" s="35">
        <v>2910</v>
      </c>
      <c r="E39" s="50"/>
      <c r="F39" s="37">
        <f t="shared" si="3"/>
        <v>17460</v>
      </c>
      <c r="G39" s="37"/>
      <c r="H39" s="37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2"/>
      <c r="V39" s="52"/>
      <c r="W39" s="50"/>
      <c r="X39" s="37">
        <f>F39*0.1</f>
        <v>1746</v>
      </c>
      <c r="Y39" s="35"/>
      <c r="Z39" s="37">
        <f t="shared" si="6"/>
        <v>18540</v>
      </c>
      <c r="AA39" s="38">
        <f t="shared" si="5"/>
        <v>37746</v>
      </c>
      <c r="AB39" s="37">
        <v>0</v>
      </c>
      <c r="AC39" s="37"/>
      <c r="AD39" s="38">
        <f t="shared" si="4"/>
        <v>226476</v>
      </c>
    </row>
    <row r="40" spans="1:33" s="19" customFormat="1" ht="15.75">
      <c r="A40" s="33">
        <v>19</v>
      </c>
      <c r="B40" s="34" t="s">
        <v>61</v>
      </c>
      <c r="C40" s="33">
        <v>0.5</v>
      </c>
      <c r="D40" s="35">
        <v>4112</v>
      </c>
      <c r="E40" s="50"/>
      <c r="F40" s="37">
        <f t="shared" si="3"/>
        <v>2056</v>
      </c>
      <c r="G40" s="37"/>
      <c r="H40" s="37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2"/>
      <c r="V40" s="52"/>
      <c r="W40" s="50"/>
      <c r="X40" s="37"/>
      <c r="Y40" s="35"/>
      <c r="Z40" s="37">
        <f t="shared" si="6"/>
        <v>944</v>
      </c>
      <c r="AA40" s="38">
        <f t="shared" si="5"/>
        <v>3000</v>
      </c>
      <c r="AB40" s="37">
        <v>0</v>
      </c>
      <c r="AC40" s="37"/>
      <c r="AD40" s="38">
        <f t="shared" si="4"/>
        <v>18000</v>
      </c>
    </row>
    <row r="41" spans="1:33" s="19" customFormat="1" ht="15.75">
      <c r="A41" s="33">
        <v>21</v>
      </c>
      <c r="B41" s="34" t="s">
        <v>56</v>
      </c>
      <c r="C41" s="33">
        <v>0.5</v>
      </c>
      <c r="D41" s="35">
        <v>3631</v>
      </c>
      <c r="E41" s="50"/>
      <c r="F41" s="37">
        <f t="shared" si="3"/>
        <v>1815.5</v>
      </c>
      <c r="G41" s="37"/>
      <c r="H41" s="37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2"/>
      <c r="V41" s="52"/>
      <c r="W41" s="50"/>
      <c r="X41" s="37"/>
      <c r="Y41" s="35"/>
      <c r="Z41" s="37">
        <f t="shared" si="6"/>
        <v>1184.5</v>
      </c>
      <c r="AA41" s="38">
        <f>SUM(F41:Z41)</f>
        <v>3000</v>
      </c>
      <c r="AB41" s="37">
        <v>0</v>
      </c>
      <c r="AC41" s="37"/>
      <c r="AD41" s="38">
        <f t="shared" si="4"/>
        <v>18000</v>
      </c>
    </row>
    <row r="42" spans="1:33" s="57" customFormat="1" ht="15.75" customHeight="1">
      <c r="A42" s="53"/>
      <c r="B42" s="54" t="s">
        <v>57</v>
      </c>
      <c r="C42" s="55">
        <f t="shared" ref="C42:AD42" si="7">SUM(C31:C41)</f>
        <v>16.5</v>
      </c>
      <c r="D42" s="56">
        <f t="shared" si="7"/>
        <v>42239</v>
      </c>
      <c r="E42" s="56">
        <f t="shared" si="7"/>
        <v>0</v>
      </c>
      <c r="F42" s="56">
        <f t="shared" si="7"/>
        <v>57282.5</v>
      </c>
      <c r="G42" s="56">
        <f t="shared" si="7"/>
        <v>0</v>
      </c>
      <c r="H42" s="56">
        <f t="shared" si="7"/>
        <v>5932.7</v>
      </c>
      <c r="I42" s="56">
        <f t="shared" si="7"/>
        <v>2189.5</v>
      </c>
      <c r="J42" s="56">
        <f t="shared" si="7"/>
        <v>0</v>
      </c>
      <c r="K42" s="56">
        <f t="shared" si="7"/>
        <v>0</v>
      </c>
      <c r="L42" s="56">
        <f t="shared" si="7"/>
        <v>0</v>
      </c>
      <c r="M42" s="56">
        <f t="shared" si="7"/>
        <v>0</v>
      </c>
      <c r="N42" s="56">
        <f t="shared" si="7"/>
        <v>0</v>
      </c>
      <c r="O42" s="56">
        <f t="shared" si="7"/>
        <v>0</v>
      </c>
      <c r="P42" s="56">
        <f t="shared" si="7"/>
        <v>656.85</v>
      </c>
      <c r="Q42" s="56">
        <f t="shared" si="7"/>
        <v>0</v>
      </c>
      <c r="R42" s="56">
        <f t="shared" si="7"/>
        <v>0</v>
      </c>
      <c r="S42" s="56">
        <f t="shared" si="7"/>
        <v>0</v>
      </c>
      <c r="T42" s="56">
        <f t="shared" si="7"/>
        <v>0</v>
      </c>
      <c r="U42" s="56">
        <f t="shared" si="7"/>
        <v>0</v>
      </c>
      <c r="V42" s="56">
        <f t="shared" si="7"/>
        <v>0</v>
      </c>
      <c r="W42" s="56">
        <f t="shared" si="7"/>
        <v>0</v>
      </c>
      <c r="X42" s="56">
        <f t="shared" si="7"/>
        <v>3610.6245508982038</v>
      </c>
      <c r="Y42" s="56">
        <f t="shared" si="7"/>
        <v>2237.5</v>
      </c>
      <c r="Z42" s="56">
        <f t="shared" si="7"/>
        <v>36020.800000000003</v>
      </c>
      <c r="AA42" s="56">
        <f t="shared" si="7"/>
        <v>107897.37455089821</v>
      </c>
      <c r="AB42" s="56">
        <f t="shared" si="7"/>
        <v>0</v>
      </c>
      <c r="AC42" s="56">
        <f t="shared" si="7"/>
        <v>0</v>
      </c>
      <c r="AD42" s="56">
        <f t="shared" si="7"/>
        <v>647384.24730538926</v>
      </c>
    </row>
    <row r="43" spans="1:33" ht="15.75">
      <c r="A43" s="58"/>
      <c r="B43" s="59" t="s">
        <v>58</v>
      </c>
      <c r="C43" s="60">
        <f t="shared" ref="C43:AD43" si="8">C30+C42</f>
        <v>59.47</v>
      </c>
      <c r="D43" s="61">
        <f t="shared" si="8"/>
        <v>105794.82783427981</v>
      </c>
      <c r="E43" s="61">
        <f t="shared" si="8"/>
        <v>0</v>
      </c>
      <c r="F43" s="61">
        <f t="shared" si="8"/>
        <v>338056.8666666667</v>
      </c>
      <c r="G43" s="61">
        <f t="shared" si="8"/>
        <v>67376.624111111116</v>
      </c>
      <c r="H43" s="61">
        <f t="shared" si="8"/>
        <v>11086.82</v>
      </c>
      <c r="I43" s="61">
        <f t="shared" si="8"/>
        <v>2189.5</v>
      </c>
      <c r="J43" s="61">
        <f t="shared" si="8"/>
        <v>0</v>
      </c>
      <c r="K43" s="61">
        <f t="shared" si="8"/>
        <v>0</v>
      </c>
      <c r="L43" s="61">
        <f t="shared" si="8"/>
        <v>0</v>
      </c>
      <c r="M43" s="61">
        <f t="shared" si="8"/>
        <v>0</v>
      </c>
      <c r="N43" s="61">
        <f t="shared" si="8"/>
        <v>0</v>
      </c>
      <c r="O43" s="61">
        <f t="shared" si="8"/>
        <v>0</v>
      </c>
      <c r="P43" s="61">
        <f t="shared" si="8"/>
        <v>656.85</v>
      </c>
      <c r="Q43" s="61">
        <f t="shared" si="8"/>
        <v>1157.2</v>
      </c>
      <c r="R43" s="61">
        <f t="shared" si="8"/>
        <v>20737.032499999998</v>
      </c>
      <c r="S43" s="61">
        <f t="shared" si="8"/>
        <v>26787.11</v>
      </c>
      <c r="T43" s="61">
        <f t="shared" si="8"/>
        <v>3400.8700000000003</v>
      </c>
      <c r="U43" s="61">
        <f t="shared" si="8"/>
        <v>0</v>
      </c>
      <c r="V43" s="61">
        <f t="shared" si="8"/>
        <v>0</v>
      </c>
      <c r="W43" s="61">
        <f t="shared" si="8"/>
        <v>0</v>
      </c>
      <c r="X43" s="61">
        <f t="shared" si="8"/>
        <v>3610.6245508982038</v>
      </c>
      <c r="Y43" s="61">
        <f t="shared" si="8"/>
        <v>57200.016666666656</v>
      </c>
      <c r="Z43" s="61">
        <f t="shared" si="8"/>
        <v>36020.800000000003</v>
      </c>
      <c r="AA43" s="61">
        <f t="shared" si="8"/>
        <v>569256.98449534271</v>
      </c>
      <c r="AB43" s="61">
        <f t="shared" si="8"/>
        <v>0</v>
      </c>
      <c r="AC43" s="61">
        <f t="shared" si="8"/>
        <v>0</v>
      </c>
      <c r="AD43" s="61">
        <f t="shared" si="8"/>
        <v>3415541.9069720563</v>
      </c>
      <c r="AE43" s="62">
        <f>AA43*6</f>
        <v>3415541.9069720563</v>
      </c>
    </row>
    <row r="44" spans="1:33" s="16" customFormat="1" ht="12.75">
      <c r="AD44" s="63"/>
    </row>
    <row r="45" spans="1:33" s="16" customFormat="1" ht="12.75" hidden="1">
      <c r="AD45" s="63"/>
    </row>
    <row r="46" spans="1:33" s="16" customFormat="1" ht="12.75" hidden="1">
      <c r="AD46" s="63"/>
    </row>
    <row r="47" spans="1:33" s="16" customFormat="1" ht="15.75">
      <c r="B47" s="30" t="s">
        <v>59</v>
      </c>
      <c r="C47" s="64"/>
      <c r="D47" s="64"/>
      <c r="E47" s="64"/>
      <c r="F47" s="30"/>
      <c r="T47" s="65" t="s">
        <v>60</v>
      </c>
      <c r="U47" s="65"/>
      <c r="V47" s="65"/>
      <c r="W47" s="66"/>
      <c r="X47" s="66"/>
      <c r="Y47" s="67"/>
      <c r="Z47" s="67"/>
      <c r="AA47" s="68"/>
      <c r="AB47" s="69"/>
      <c r="AC47" s="69"/>
      <c r="AD47" s="69"/>
      <c r="AE47" s="70"/>
      <c r="AF47" s="70"/>
      <c r="AG47" s="30"/>
    </row>
    <row r="48" spans="1:33" s="16" customFormat="1" ht="15.75">
      <c r="B48" s="30"/>
      <c r="C48" s="31"/>
      <c r="D48" s="71"/>
      <c r="E48" s="71"/>
      <c r="F48" s="71"/>
      <c r="G48" s="71"/>
      <c r="H48" s="30"/>
    </row>
    <row r="49" s="16" customFormat="1" ht="12.75"/>
    <row r="50" s="16" customFormat="1" ht="12.75"/>
  </sheetData>
  <mergeCells count="36">
    <mergeCell ref="R14:R19"/>
    <mergeCell ref="S14:S19"/>
    <mergeCell ref="T14:T19"/>
    <mergeCell ref="U14:U19"/>
    <mergeCell ref="M14:M19"/>
    <mergeCell ref="N14:N19"/>
    <mergeCell ref="O14:O19"/>
    <mergeCell ref="P14:P19"/>
    <mergeCell ref="Q14:Q19"/>
    <mergeCell ref="G14:G19"/>
    <mergeCell ref="H14:H19"/>
    <mergeCell ref="I14:I19"/>
    <mergeCell ref="J14:J19"/>
    <mergeCell ref="K14:K19"/>
    <mergeCell ref="Z11:Z19"/>
    <mergeCell ref="AA11:AA19"/>
    <mergeCell ref="V14:V19"/>
    <mergeCell ref="W14:W19"/>
    <mergeCell ref="AB11:AB19"/>
    <mergeCell ref="X14:X19"/>
    <mergeCell ref="AA4:AD4"/>
    <mergeCell ref="AA5:AD5"/>
    <mergeCell ref="A11:A19"/>
    <mergeCell ref="B11:B19"/>
    <mergeCell ref="C11:C19"/>
    <mergeCell ref="D11:D19"/>
    <mergeCell ref="E11:E19"/>
    <mergeCell ref="D9:T9"/>
    <mergeCell ref="AC11:AC19"/>
    <mergeCell ref="AD11:AD19"/>
    <mergeCell ref="F11:F19"/>
    <mergeCell ref="G11:I13"/>
    <mergeCell ref="J11:O13"/>
    <mergeCell ref="P11:X13"/>
    <mergeCell ref="L14:L19"/>
    <mergeCell ref="Y11:Y19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60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01.01.21.</vt:lpstr>
      <vt:lpstr>'на 01.01.21.'!Область_печати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2020-11-25T11:53:32Z</cp:lastPrinted>
  <dcterms:created xsi:type="dcterms:W3CDTF">2020-10-30T08:02:39Z</dcterms:created>
  <dcterms:modified xsi:type="dcterms:W3CDTF">2020-12-03T14:34:28Z</dcterms:modified>
</cp:coreProperties>
</file>